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iat\Desktop\پیوست IT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" l="1"/>
  <c r="AC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T18" i="1"/>
  <c r="S25" i="1"/>
  <c r="E25" i="1"/>
  <c r="E26" i="1" l="1"/>
  <c r="AB21" i="1"/>
  <c r="AB25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E21" i="1"/>
  <c r="AC21" i="1" l="1"/>
  <c r="AC20" i="1"/>
  <c r="AC19" i="1"/>
  <c r="AC18" i="1"/>
  <c r="AC16" i="1"/>
  <c r="AC15" i="1"/>
  <c r="AC13" i="1"/>
  <c r="AC12" i="1"/>
  <c r="AC10" i="1"/>
  <c r="AC9" i="1"/>
  <c r="AC7" i="1"/>
  <c r="AC6" i="1"/>
  <c r="AC4" i="1"/>
  <c r="AC3" i="1"/>
  <c r="AB14" i="1"/>
  <c r="AA14" i="1"/>
  <c r="E5" i="1"/>
  <c r="F5" i="1"/>
  <c r="G5" i="1"/>
  <c r="H5" i="1"/>
  <c r="I5" i="1"/>
  <c r="J5" i="1"/>
  <c r="K5" i="1"/>
  <c r="L5" i="1"/>
  <c r="M5" i="1"/>
  <c r="N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J25" i="1" l="1"/>
  <c r="F25" i="1"/>
  <c r="G25" i="1"/>
  <c r="H25" i="1"/>
  <c r="I25" i="1"/>
  <c r="K25" i="1"/>
  <c r="L25" i="1"/>
  <c r="M25" i="1"/>
  <c r="AC5" i="1"/>
  <c r="AA25" i="1" l="1"/>
  <c r="Z25" i="1"/>
  <c r="R20" i="1"/>
  <c r="Q20" i="1"/>
  <c r="P20" i="1"/>
  <c r="O20" i="1"/>
  <c r="N20" i="1"/>
  <c r="N25" i="1" s="1"/>
  <c r="V19" i="1"/>
  <c r="U19" i="1"/>
  <c r="T19" i="1"/>
  <c r="S19" i="1"/>
  <c r="R19" i="1"/>
  <c r="Q19" i="1"/>
  <c r="P19" i="1"/>
  <c r="W18" i="1"/>
  <c r="Z14" i="1"/>
  <c r="Y14" i="1"/>
  <c r="W13" i="1"/>
  <c r="V13" i="1"/>
  <c r="V14" i="1" s="1"/>
  <c r="U13" i="1"/>
  <c r="U14" i="1" s="1"/>
  <c r="T13" i="1"/>
  <c r="T14" i="1" s="1"/>
  <c r="S13" i="1"/>
  <c r="X11" i="1"/>
  <c r="V11" i="1"/>
  <c r="U11" i="1"/>
  <c r="S11" i="1"/>
  <c r="W10" i="1"/>
  <c r="T10" i="1"/>
  <c r="T11" i="1" s="1"/>
  <c r="X8" i="1"/>
  <c r="S8" i="1"/>
  <c r="W7" i="1"/>
  <c r="W8" i="1" s="1"/>
  <c r="V7" i="1"/>
  <c r="U7" i="1"/>
  <c r="T7" i="1"/>
  <c r="R7" i="1"/>
  <c r="Q7" i="1"/>
  <c r="P25" i="1" l="1"/>
  <c r="V25" i="1"/>
  <c r="Q8" i="1"/>
  <c r="Q25" i="1"/>
  <c r="R8" i="1"/>
  <c r="R25" i="1"/>
  <c r="O25" i="1"/>
  <c r="O26" i="1" s="1"/>
  <c r="T8" i="1"/>
  <c r="T25" i="1"/>
  <c r="T26" i="1" s="1"/>
  <c r="U8" i="1"/>
  <c r="U25" i="1"/>
  <c r="U26" i="1" s="1"/>
  <c r="S14" i="1"/>
  <c r="Y25" i="1"/>
  <c r="Y26" i="1" s="1"/>
  <c r="X25" i="1"/>
  <c r="X26" i="1" s="1"/>
  <c r="J26" i="1"/>
  <c r="N26" i="1"/>
  <c r="K26" i="1"/>
  <c r="L26" i="1"/>
  <c r="M26" i="1"/>
  <c r="I26" i="1"/>
  <c r="G26" i="1"/>
  <c r="H26" i="1"/>
  <c r="Q26" i="1"/>
  <c r="AC14" i="1"/>
  <c r="Z26" i="1"/>
  <c r="S26" i="1"/>
  <c r="AC11" i="1"/>
  <c r="AB26" i="1"/>
  <c r="AC17" i="1"/>
  <c r="F26" i="1"/>
  <c r="R26" i="1"/>
  <c r="V26" i="1"/>
  <c r="W11" i="1"/>
  <c r="AC8" i="1"/>
  <c r="W25" i="1" l="1"/>
  <c r="P26" i="1"/>
  <c r="W26" i="1" l="1"/>
  <c r="AC25" i="1"/>
  <c r="AC26" i="1" s="1"/>
</calcChain>
</file>

<file path=xl/sharedStrings.xml><?xml version="1.0" encoding="utf-8"?>
<sst xmlns="http://schemas.openxmlformats.org/spreadsheetml/2006/main" count="28" uniqueCount="26">
  <si>
    <t>عنوان</t>
  </si>
  <si>
    <t>جمع كل</t>
  </si>
  <si>
    <t>تحقق اهداف  بودجه اي 
حاصل از واگذاري (ميليارد ريال)</t>
  </si>
  <si>
    <t>تكليف واريز به حساب درآمد عمومي به موجب قانون بودجه سالانه كل كشور</t>
  </si>
  <si>
    <t>درصد تحقق هدف حساب درآمد عمومي</t>
  </si>
  <si>
    <t>تكليف واريز به حساب خاص خزانه به موجب قانون بودجه سالانه كل كشور جهت مصرف در موارد خاص</t>
  </si>
  <si>
    <t xml:space="preserve">عملكرد در راستاي واريز به حساب خاص خزانه </t>
  </si>
  <si>
    <t>درصد تحقق هدف حساب خاص</t>
  </si>
  <si>
    <t>تكليف در راستاي رديف درآمدي 310801 موضوع واگذاري باقيمانده سهام بانك ها و بيمه ها</t>
  </si>
  <si>
    <t>عملكرد در راستاي رديف درآمدي 310801</t>
  </si>
  <si>
    <t>درصد تحقق هدف رديف درآمدي 310801</t>
  </si>
  <si>
    <t xml:space="preserve">تكليف در راستاي رديف درآمدي 310515 موضوع واگذاري سهام متعلق به وزارت جهاد كشاورزي </t>
  </si>
  <si>
    <t>عملكرد در راستاي رديف درآمدي 310515</t>
  </si>
  <si>
    <t>درصد تحقق هدف رديف درآمدي 310515</t>
  </si>
  <si>
    <t xml:space="preserve">تكليف در راستاي رديف درآمدي 310516 </t>
  </si>
  <si>
    <t>عملكرد در راستاي رديف درآمدي 310516</t>
  </si>
  <si>
    <t>درصد تحقق هدف رديف درآمدي 310516</t>
  </si>
  <si>
    <t>عملكرد در راستاي واريز به حساب 108 موضوع تسويه بدهي كاركنان صندوق بازنشستگي فولاد</t>
  </si>
  <si>
    <t>واریز به ساير حساب هاي خاص خزانه در راستاي بندهاي قانون بودجه سالانه كل كشور</t>
  </si>
  <si>
    <t>تهاتر منابع حاصل از واگذاري با بدهي دولت به اشخاص</t>
  </si>
  <si>
    <t>جمع کل وجوه واریزی به خزانه به علاوه تهاتر</t>
  </si>
  <si>
    <t>مجموع تكليف (ميليارد ريال)</t>
  </si>
  <si>
    <t>مجموع عملكرد (ميليارد ريال)</t>
  </si>
  <si>
    <t>درصد تحقق كل هدف</t>
  </si>
  <si>
    <t>عملکرد در راستای واریز به حساب درآمد عمومی - 164</t>
  </si>
  <si>
    <t xml:space="preserve">آمارهاي تحقق اهداف بودجه اي واگذاري سهام و بنگاه ها توسط سازمان خصوصی سازی از سال 1380 لغايت 1403/12/30                                                                                                                                                                                    ارزش به ميليارد ريال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</si>
</sst>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name val="B Titr"/>
      <charset val="178"/>
    </font>
    <font>
      <b/>
      <sz val="16"/>
      <name val="B Titr"/>
      <charset val="178"/>
    </font>
    <font>
      <b/>
      <sz val="16"/>
      <name val="B Lotus"/>
      <charset val="178"/>
    </font>
    <font>
      <sz val="16"/>
      <name val="B Lotus"/>
      <charset val="178"/>
    </font>
    <font>
      <sz val="16"/>
      <color theme="1"/>
      <name val="B Lotus"/>
      <charset val="178"/>
    </font>
    <font>
      <b/>
      <i/>
      <sz val="16"/>
      <name val="B Lotus"/>
      <charset val="178"/>
    </font>
    <font>
      <sz val="10"/>
      <name val="Arial"/>
      <family val="2"/>
    </font>
    <font>
      <b/>
      <sz val="16"/>
      <color theme="1"/>
      <name val="B Lotus"/>
      <charset val="178"/>
    </font>
    <font>
      <sz val="16"/>
      <name val="B Homa"/>
      <charset val="178"/>
    </font>
    <font>
      <sz val="11"/>
      <color rgb="FF006100"/>
      <name val="B Zar"/>
      <family val="2"/>
      <charset val="178"/>
    </font>
    <font>
      <b/>
      <sz val="20"/>
      <name val="Arial"/>
      <family val="2"/>
      <scheme val="minor"/>
    </font>
    <font>
      <b/>
      <sz val="22"/>
      <name val="Arial"/>
      <family val="2"/>
      <scheme val="minor"/>
    </font>
    <font>
      <b/>
      <sz val="14"/>
      <name val="B Titr"/>
      <charset val="178"/>
    </font>
    <font>
      <b/>
      <i/>
      <sz val="12"/>
      <name val="B Titr"/>
      <charset val="178"/>
    </font>
    <font>
      <b/>
      <sz val="14"/>
      <name val="B Lotus"/>
      <charset val="178"/>
    </font>
    <font>
      <b/>
      <sz val="16"/>
      <color rgb="FF006100"/>
      <name val="B Lotus"/>
      <charset val="178"/>
    </font>
    <font>
      <b/>
      <sz val="18"/>
      <color rgb="FF006100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79">
    <xf numFmtId="0" fontId="0" fillId="0" borderId="0" xfId="0"/>
    <xf numFmtId="3" fontId="5" fillId="0" borderId="5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 wrapText="1" readingOrder="2"/>
    </xf>
    <xf numFmtId="3" fontId="10" fillId="3" borderId="0" xfId="0" applyNumberFormat="1" applyFont="1" applyFill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10" fillId="0" borderId="0" xfId="0" applyFont="1" applyFill="1" applyBorder="1" applyAlignment="1">
      <alignment horizontal="right" vertical="top" wrapText="1" readingOrder="2"/>
    </xf>
    <xf numFmtId="0" fontId="12" fillId="4" borderId="17" xfId="3" applyNumberFormat="1" applyFont="1" applyBorder="1" applyAlignment="1" applyProtection="1">
      <alignment horizontal="center" vertical="center" wrapText="1"/>
    </xf>
    <xf numFmtId="0" fontId="12" fillId="4" borderId="1" xfId="3" applyNumberFormat="1" applyFont="1" applyBorder="1" applyAlignment="1" applyProtection="1">
      <alignment horizontal="center" vertical="center" wrapText="1"/>
    </xf>
    <xf numFmtId="0" fontId="12" fillId="4" borderId="2" xfId="3" applyNumberFormat="1" applyFont="1" applyBorder="1" applyAlignment="1" applyProtection="1">
      <alignment horizontal="center" vertical="center" wrapText="1"/>
    </xf>
    <xf numFmtId="0" fontId="14" fillId="4" borderId="3" xfId="3" applyNumberFormat="1" applyFont="1" applyBorder="1" applyAlignment="1" applyProtection="1">
      <alignment horizontal="center" vertical="center" wrapText="1"/>
    </xf>
    <xf numFmtId="0" fontId="14" fillId="4" borderId="4" xfId="3" applyNumberFormat="1" applyFont="1" applyBorder="1" applyAlignment="1" applyProtection="1">
      <alignment horizontal="center" vertical="center" wrapText="1"/>
    </xf>
    <xf numFmtId="3" fontId="14" fillId="4" borderId="7" xfId="3" applyNumberFormat="1" applyFont="1" applyBorder="1" applyAlignment="1" applyProtection="1">
      <alignment horizontal="center" vertical="center" wrapText="1"/>
    </xf>
    <xf numFmtId="9" fontId="15" fillId="4" borderId="10" xfId="1" applyFont="1" applyFill="1" applyBorder="1" applyAlignment="1" applyProtection="1">
      <alignment horizontal="center" vertical="center" wrapText="1"/>
    </xf>
    <xf numFmtId="9" fontId="15" fillId="4" borderId="11" xfId="1" applyFont="1" applyFill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16" fillId="4" borderId="13" xfId="3" applyNumberFormat="1" applyFont="1" applyBorder="1" applyAlignment="1" applyProtection="1">
      <alignment horizontal="center" vertical="center" wrapText="1"/>
    </xf>
    <xf numFmtId="3" fontId="16" fillId="4" borderId="14" xfId="3" applyNumberFormat="1" applyFont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16" fillId="4" borderId="10" xfId="3" applyNumberFormat="1" applyFont="1" applyBorder="1" applyAlignment="1" applyProtection="1">
      <alignment horizontal="center" vertical="center" wrapText="1"/>
    </xf>
    <xf numFmtId="3" fontId="16" fillId="4" borderId="11" xfId="3" applyNumberFormat="1" applyFont="1" applyBorder="1" applyAlignment="1" applyProtection="1">
      <alignment horizontal="center" vertical="center" wrapText="1"/>
    </xf>
    <xf numFmtId="9" fontId="7" fillId="4" borderId="11" xfId="1" applyFont="1" applyFill="1" applyBorder="1" applyAlignment="1" applyProtection="1">
      <alignment horizontal="center" vertical="center" wrapText="1"/>
    </xf>
    <xf numFmtId="9" fontId="7" fillId="4" borderId="10" xfId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12" fillId="4" borderId="24" xfId="3" applyNumberFormat="1" applyFont="1" applyBorder="1" applyAlignment="1" applyProtection="1">
      <alignment horizontal="center" vertical="center" wrapText="1"/>
    </xf>
    <xf numFmtId="0" fontId="12" fillId="4" borderId="25" xfId="3" applyNumberFormat="1" applyFont="1" applyBorder="1" applyAlignment="1" applyProtection="1">
      <alignment horizontal="center" vertical="center" wrapText="1"/>
    </xf>
    <xf numFmtId="0" fontId="12" fillId="4" borderId="26" xfId="3" applyNumberFormat="1" applyFont="1" applyBorder="1" applyAlignment="1" applyProtection="1">
      <alignment horizontal="center" vertical="center" wrapText="1"/>
    </xf>
    <xf numFmtId="0" fontId="13" fillId="4" borderId="20" xfId="3" applyNumberFormat="1" applyFont="1" applyBorder="1" applyAlignment="1" applyProtection="1">
      <alignment horizontal="center" vertical="center" wrapText="1"/>
    </xf>
    <xf numFmtId="0" fontId="13" fillId="4" borderId="21" xfId="3" applyNumberFormat="1" applyFont="1" applyBorder="1" applyAlignment="1" applyProtection="1">
      <alignment horizontal="center" vertical="center" wrapText="1"/>
    </xf>
    <xf numFmtId="0" fontId="13" fillId="4" borderId="22" xfId="3" applyNumberFormat="1" applyFont="1" applyBorder="1" applyAlignment="1" applyProtection="1">
      <alignment horizontal="center" vertical="center" wrapText="1"/>
    </xf>
    <xf numFmtId="0" fontId="3" fillId="4" borderId="13" xfId="3" applyNumberFormat="1" applyFont="1" applyBorder="1" applyAlignment="1" applyProtection="1">
      <alignment horizontal="center" vertical="center" wrapText="1"/>
    </xf>
    <xf numFmtId="0" fontId="3" fillId="4" borderId="14" xfId="3" applyNumberFormat="1" applyFont="1" applyBorder="1" applyAlignment="1" applyProtection="1">
      <alignment horizontal="center" vertical="center" wrapText="1"/>
    </xf>
    <xf numFmtId="0" fontId="17" fillId="4" borderId="18" xfId="3" applyNumberFormat="1" applyFont="1" applyBorder="1" applyAlignment="1" applyProtection="1">
      <alignment horizontal="center" vertical="center" wrapText="1"/>
    </xf>
    <xf numFmtId="0" fontId="17" fillId="4" borderId="15" xfId="3" applyNumberFormat="1" applyFont="1" applyBorder="1" applyAlignment="1" applyProtection="1">
      <alignment horizontal="center" vertical="center" wrapText="1"/>
    </xf>
    <xf numFmtId="0" fontId="17" fillId="4" borderId="16" xfId="3" applyNumberFormat="1" applyFont="1" applyBorder="1" applyAlignment="1" applyProtection="1">
      <alignment horizontal="center" vertical="center" wrapText="1"/>
    </xf>
    <xf numFmtId="0" fontId="18" fillId="4" borderId="18" xfId="3" applyNumberFormat="1" applyFont="1" applyBorder="1" applyAlignment="1" applyProtection="1">
      <alignment horizontal="center" vertical="center" wrapText="1"/>
    </xf>
    <xf numFmtId="0" fontId="18" fillId="4" borderId="15" xfId="3" applyNumberFormat="1" applyFont="1" applyBorder="1" applyAlignment="1" applyProtection="1">
      <alignment horizontal="center" vertical="center" wrapText="1"/>
    </xf>
    <xf numFmtId="0" fontId="18" fillId="4" borderId="16" xfId="3" applyNumberFormat="1" applyFont="1" applyBorder="1" applyAlignment="1" applyProtection="1">
      <alignment horizontal="center" vertical="center" wrapText="1"/>
    </xf>
    <xf numFmtId="0" fontId="16" fillId="4" borderId="17" xfId="3" applyNumberFormat="1" applyFont="1" applyBorder="1" applyAlignment="1" applyProtection="1">
      <alignment horizontal="right" vertical="center" wrapText="1"/>
    </xf>
    <xf numFmtId="0" fontId="16" fillId="4" borderId="1" xfId="3" applyNumberFormat="1" applyFont="1" applyBorder="1" applyAlignment="1" applyProtection="1">
      <alignment horizontal="right" vertical="center" wrapText="1"/>
    </xf>
    <xf numFmtId="0" fontId="16" fillId="4" borderId="2" xfId="3" applyNumberFormat="1" applyFont="1" applyBorder="1" applyAlignment="1" applyProtection="1">
      <alignment horizontal="right" vertical="center" wrapText="1"/>
    </xf>
    <xf numFmtId="0" fontId="16" fillId="4" borderId="18" xfId="3" applyNumberFormat="1" applyFont="1" applyBorder="1" applyAlignment="1" applyProtection="1">
      <alignment horizontal="right" vertical="center" wrapText="1"/>
    </xf>
    <xf numFmtId="0" fontId="16" fillId="4" borderId="15" xfId="3" applyNumberFormat="1" applyFont="1" applyBorder="1" applyAlignment="1" applyProtection="1">
      <alignment horizontal="right" vertical="center" wrapText="1"/>
    </xf>
    <xf numFmtId="0" fontId="16" fillId="4" borderId="16" xfId="3" applyNumberFormat="1" applyFont="1" applyBorder="1" applyAlignment="1" applyProtection="1">
      <alignment horizontal="right" vertical="center" wrapText="1"/>
    </xf>
    <xf numFmtId="0" fontId="16" fillId="4" borderId="19" xfId="3" applyNumberFormat="1" applyFont="1" applyBorder="1" applyAlignment="1" applyProtection="1">
      <alignment horizontal="right" vertical="center" wrapText="1"/>
    </xf>
    <xf numFmtId="0" fontId="16" fillId="4" borderId="8" xfId="3" applyNumberFormat="1" applyFont="1" applyBorder="1" applyAlignment="1" applyProtection="1">
      <alignment horizontal="right" vertical="center" wrapText="1"/>
    </xf>
    <xf numFmtId="0" fontId="16" fillId="4" borderId="9" xfId="3" applyNumberFormat="1" applyFont="1" applyBorder="1" applyAlignment="1" applyProtection="1">
      <alignment horizontal="right" vertical="center" wrapText="1"/>
    </xf>
    <xf numFmtId="0" fontId="16" fillId="4" borderId="20" xfId="3" applyNumberFormat="1" applyFont="1" applyBorder="1" applyAlignment="1" applyProtection="1">
      <alignment horizontal="right" vertical="center" wrapText="1"/>
    </xf>
    <xf numFmtId="0" fontId="16" fillId="4" borderId="21" xfId="3" applyNumberFormat="1" applyFont="1" applyBorder="1" applyAlignment="1" applyProtection="1">
      <alignment horizontal="right" vertical="center" wrapText="1"/>
    </xf>
    <xf numFmtId="0" fontId="16" fillId="4" borderId="22" xfId="3" applyNumberFormat="1" applyFont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</cellXfs>
  <cellStyles count="4">
    <cellStyle name="Comma 3" xfId="2"/>
    <cellStyle name="Good" xfId="3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6D1CE"/>
      <color rgb="FFC6D1EC"/>
      <color rgb="FFB5E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rightToLeft="1" tabSelected="1" view="pageBreakPreview" zoomScale="60" zoomScaleNormal="60" workbookViewId="0">
      <selection sqref="A1:AC1"/>
    </sheetView>
  </sheetViews>
  <sheetFormatPr defaultRowHeight="14.25" x14ac:dyDescent="0.2"/>
  <cols>
    <col min="1" max="1" width="12.25" bestFit="1" customWidth="1"/>
    <col min="2" max="2" width="23.625" customWidth="1"/>
    <col min="3" max="3" width="24.75" customWidth="1"/>
    <col min="4" max="4" width="34.75" customWidth="1"/>
    <col min="5" max="26" width="9.625" customWidth="1"/>
    <col min="27" max="28" width="12.25" customWidth="1"/>
    <col min="29" max="29" width="16.125" bestFit="1" customWidth="1"/>
  </cols>
  <sheetData>
    <row r="1" spans="1:29" ht="59.25" customHeight="1" thickBo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33" thickBot="1" x14ac:dyDescent="0.25">
      <c r="A2" s="55" t="s">
        <v>0</v>
      </c>
      <c r="B2" s="56"/>
      <c r="C2" s="56"/>
      <c r="D2" s="57"/>
      <c r="E2" s="58">
        <v>1380</v>
      </c>
      <c r="F2" s="58">
        <v>1381</v>
      </c>
      <c r="G2" s="58">
        <v>1382</v>
      </c>
      <c r="H2" s="58">
        <v>1383</v>
      </c>
      <c r="I2" s="58">
        <v>1384</v>
      </c>
      <c r="J2" s="58">
        <v>1385</v>
      </c>
      <c r="K2" s="58">
        <v>1386</v>
      </c>
      <c r="L2" s="58">
        <v>1387</v>
      </c>
      <c r="M2" s="58">
        <v>1388</v>
      </c>
      <c r="N2" s="58">
        <v>1389</v>
      </c>
      <c r="O2" s="58">
        <v>1390</v>
      </c>
      <c r="P2" s="58">
        <v>1391</v>
      </c>
      <c r="Q2" s="58">
        <v>1392</v>
      </c>
      <c r="R2" s="58">
        <v>1393</v>
      </c>
      <c r="S2" s="58">
        <v>1394</v>
      </c>
      <c r="T2" s="58">
        <v>1395</v>
      </c>
      <c r="U2" s="58">
        <v>1396</v>
      </c>
      <c r="V2" s="58">
        <v>1397</v>
      </c>
      <c r="W2" s="58">
        <v>1398</v>
      </c>
      <c r="X2" s="58">
        <v>1399</v>
      </c>
      <c r="Y2" s="58">
        <v>1400</v>
      </c>
      <c r="Z2" s="58">
        <v>1401</v>
      </c>
      <c r="AA2" s="58">
        <v>1402</v>
      </c>
      <c r="AB2" s="58">
        <v>1403</v>
      </c>
      <c r="AC2" s="59" t="s">
        <v>1</v>
      </c>
    </row>
    <row r="3" spans="1:29" ht="29.25" customHeight="1" x14ac:dyDescent="0.2">
      <c r="A3" s="52" t="s">
        <v>2</v>
      </c>
      <c r="B3" s="66" t="s">
        <v>3</v>
      </c>
      <c r="C3" s="67"/>
      <c r="D3" s="68"/>
      <c r="E3" s="51">
        <v>1200</v>
      </c>
      <c r="F3" s="51">
        <v>6000</v>
      </c>
      <c r="G3" s="51">
        <v>7000</v>
      </c>
      <c r="H3" s="51">
        <v>11000</v>
      </c>
      <c r="I3" s="51">
        <v>5000</v>
      </c>
      <c r="J3" s="51">
        <v>7400</v>
      </c>
      <c r="K3" s="51">
        <v>30000</v>
      </c>
      <c r="L3" s="51">
        <v>30000</v>
      </c>
      <c r="M3" s="51">
        <v>32100</v>
      </c>
      <c r="N3" s="51">
        <v>45000</v>
      </c>
      <c r="O3" s="51">
        <v>45000</v>
      </c>
      <c r="P3" s="9">
        <v>65000</v>
      </c>
      <c r="Q3" s="17">
        <v>62000</v>
      </c>
      <c r="R3" s="17">
        <v>77000</v>
      </c>
      <c r="S3" s="17">
        <v>145000</v>
      </c>
      <c r="T3" s="17">
        <v>115000</v>
      </c>
      <c r="U3" s="17">
        <v>79000</v>
      </c>
      <c r="V3" s="17">
        <v>48800</v>
      </c>
      <c r="W3" s="17">
        <v>34800</v>
      </c>
      <c r="X3" s="17">
        <v>41871</v>
      </c>
      <c r="Y3" s="17">
        <v>47000</v>
      </c>
      <c r="Z3" s="17">
        <v>708000</v>
      </c>
      <c r="AA3" s="17">
        <v>1058000</v>
      </c>
      <c r="AB3" s="17">
        <v>598500</v>
      </c>
      <c r="AC3" s="44">
        <f>SUM(E3:AB3)</f>
        <v>3299671</v>
      </c>
    </row>
    <row r="4" spans="1:29" ht="27" customHeight="1" x14ac:dyDescent="0.2">
      <c r="A4" s="53"/>
      <c r="B4" s="69" t="s">
        <v>24</v>
      </c>
      <c r="C4" s="70"/>
      <c r="D4" s="71"/>
      <c r="E4" s="1">
        <v>93.6</v>
      </c>
      <c r="F4" s="1">
        <v>1012.764</v>
      </c>
      <c r="G4" s="1">
        <v>2470.7170000000001</v>
      </c>
      <c r="H4" s="1">
        <v>2813.0540000000001</v>
      </c>
      <c r="I4" s="1">
        <v>1537.241</v>
      </c>
      <c r="J4" s="1">
        <v>1636.2929999999999</v>
      </c>
      <c r="K4" s="1">
        <v>6288.3720000000003</v>
      </c>
      <c r="L4" s="1">
        <v>15014.574000000001</v>
      </c>
      <c r="M4" s="1">
        <v>19496.367999999999</v>
      </c>
      <c r="N4" s="1">
        <v>38116</v>
      </c>
      <c r="O4" s="1">
        <v>53596</v>
      </c>
      <c r="P4" s="2">
        <v>51496</v>
      </c>
      <c r="Q4" s="3">
        <v>81558</v>
      </c>
      <c r="R4" s="3">
        <v>116831</v>
      </c>
      <c r="S4" s="3">
        <v>91878</v>
      </c>
      <c r="T4" s="3">
        <v>74116</v>
      </c>
      <c r="U4" s="3">
        <v>40725</v>
      </c>
      <c r="V4" s="3">
        <v>47435</v>
      </c>
      <c r="W4" s="3">
        <v>42925</v>
      </c>
      <c r="X4" s="3">
        <v>30028.368611687547</v>
      </c>
      <c r="Y4" s="3">
        <v>17579</v>
      </c>
      <c r="Z4" s="3">
        <v>329683.14</v>
      </c>
      <c r="AA4" s="3">
        <v>273604.65516831097</v>
      </c>
      <c r="AB4" s="3">
        <v>329556.7790605044</v>
      </c>
      <c r="AC4" s="4">
        <f>SUM(E4:AB4)</f>
        <v>1669490.9258405028</v>
      </c>
    </row>
    <row r="5" spans="1:29" ht="30" customHeight="1" thickBot="1" x14ac:dyDescent="0.25">
      <c r="A5" s="53"/>
      <c r="B5" s="72" t="s">
        <v>4</v>
      </c>
      <c r="C5" s="73"/>
      <c r="D5" s="74"/>
      <c r="E5" s="48">
        <f>E4/E3</f>
        <v>7.8E-2</v>
      </c>
      <c r="F5" s="48">
        <f t="shared" ref="F5:N5" si="0">F4/F3</f>
        <v>0.168794</v>
      </c>
      <c r="G5" s="48">
        <f t="shared" si="0"/>
        <v>0.35295957142857143</v>
      </c>
      <c r="H5" s="48">
        <f t="shared" si="0"/>
        <v>0.2557321818181818</v>
      </c>
      <c r="I5" s="48">
        <f t="shared" si="0"/>
        <v>0.3074482</v>
      </c>
      <c r="J5" s="48">
        <f t="shared" si="0"/>
        <v>0.22112067567567567</v>
      </c>
      <c r="K5" s="48">
        <f t="shared" si="0"/>
        <v>0.2096124</v>
      </c>
      <c r="L5" s="48">
        <f t="shared" si="0"/>
        <v>0.50048579999999998</v>
      </c>
      <c r="M5" s="48">
        <f t="shared" si="0"/>
        <v>0.60736348909657312</v>
      </c>
      <c r="N5" s="48">
        <f t="shared" si="0"/>
        <v>0.84702222222222223</v>
      </c>
      <c r="O5" s="48">
        <v>1.19</v>
      </c>
      <c r="P5" s="48">
        <f t="shared" ref="P5:AB5" si="1">P4/P3</f>
        <v>0.79224615384615382</v>
      </c>
      <c r="Q5" s="48">
        <f t="shared" si="1"/>
        <v>1.3154516129032259</v>
      </c>
      <c r="R5" s="48">
        <f t="shared" si="1"/>
        <v>1.5172857142857143</v>
      </c>
      <c r="S5" s="48">
        <f t="shared" si="1"/>
        <v>0.63364137931034481</v>
      </c>
      <c r="T5" s="48">
        <f t="shared" si="1"/>
        <v>0.64448695652173915</v>
      </c>
      <c r="U5" s="48">
        <f t="shared" si="1"/>
        <v>0.51550632911392402</v>
      </c>
      <c r="V5" s="48">
        <f t="shared" si="1"/>
        <v>0.97202868852459012</v>
      </c>
      <c r="W5" s="48">
        <f t="shared" si="1"/>
        <v>1.2334770114942528</v>
      </c>
      <c r="X5" s="48">
        <f t="shared" si="1"/>
        <v>0.71716387503731815</v>
      </c>
      <c r="Y5" s="48">
        <f t="shared" si="1"/>
        <v>0.37402127659574469</v>
      </c>
      <c r="Z5" s="48">
        <f t="shared" si="1"/>
        <v>0.46565415254237291</v>
      </c>
      <c r="AA5" s="48">
        <f t="shared" si="1"/>
        <v>0.2586055341855491</v>
      </c>
      <c r="AB5" s="48">
        <f t="shared" si="1"/>
        <v>0.55063789316709177</v>
      </c>
      <c r="AC5" s="47">
        <f>AC4/AC3</f>
        <v>0.50595678352190354</v>
      </c>
    </row>
    <row r="6" spans="1:29" ht="56.25" customHeight="1" x14ac:dyDescent="0.2">
      <c r="A6" s="53"/>
      <c r="B6" s="66" t="s">
        <v>5</v>
      </c>
      <c r="C6" s="67"/>
      <c r="D6" s="6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17">
        <v>250000</v>
      </c>
      <c r="R6" s="17">
        <v>104000</v>
      </c>
      <c r="S6" s="17">
        <v>30000</v>
      </c>
      <c r="T6" s="17">
        <v>45000</v>
      </c>
      <c r="U6" s="17">
        <v>22000</v>
      </c>
      <c r="V6" s="17">
        <v>18200</v>
      </c>
      <c r="W6" s="17">
        <v>6950</v>
      </c>
      <c r="X6" s="17">
        <v>67000</v>
      </c>
      <c r="Y6" s="17">
        <v>900000</v>
      </c>
      <c r="Z6" s="17"/>
      <c r="AA6" s="17"/>
      <c r="AB6" s="17"/>
      <c r="AC6" s="44">
        <f>SUM(E6:AB6)</f>
        <v>1443150</v>
      </c>
    </row>
    <row r="7" spans="1:29" ht="29.25" customHeight="1" x14ac:dyDescent="0.2">
      <c r="A7" s="53"/>
      <c r="B7" s="69" t="s">
        <v>6</v>
      </c>
      <c r="C7" s="70"/>
      <c r="D7" s="7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2">
        <f>(32763870973694)/1000000000</f>
        <v>32763.870973694</v>
      </c>
      <c r="R7" s="2">
        <f>(7168951620174)/1000000000</f>
        <v>7168.9516201739998</v>
      </c>
      <c r="S7" s="5">
        <v>2537</v>
      </c>
      <c r="T7" s="5">
        <f>(396729933698400%)/1000000000</f>
        <v>3967.2993369840001</v>
      </c>
      <c r="U7" s="5">
        <f>(606412391176)/1000000000</f>
        <v>606.41239117600003</v>
      </c>
      <c r="V7" s="5">
        <f>(666119093379)/1000000000</f>
        <v>666.11909337899999</v>
      </c>
      <c r="W7" s="5">
        <f>(16458612294845)/1000000000</f>
        <v>16458.612294844999</v>
      </c>
      <c r="X7" s="5">
        <v>234633.07717637281</v>
      </c>
      <c r="Y7" s="5"/>
      <c r="Z7" s="2"/>
      <c r="AA7" s="2"/>
      <c r="AB7" s="2"/>
      <c r="AC7" s="4">
        <f>SUM(E7:AB7)</f>
        <v>298801.3428866248</v>
      </c>
    </row>
    <row r="8" spans="1:29" ht="30" customHeight="1" thickBot="1" x14ac:dyDescent="0.25">
      <c r="A8" s="53"/>
      <c r="B8" s="72" t="s">
        <v>7</v>
      </c>
      <c r="C8" s="73"/>
      <c r="D8" s="74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>
        <f>Q7/Q6</f>
        <v>0.131055483894776</v>
      </c>
      <c r="R8" s="48">
        <f>R7/R6</f>
        <v>6.8932227117057696E-2</v>
      </c>
      <c r="S8" s="48">
        <f>S7/S6</f>
        <v>8.4566666666666665E-2</v>
      </c>
      <c r="T8" s="48">
        <f>T7/T6</f>
        <v>8.8162207488533331E-2</v>
      </c>
      <c r="U8" s="48">
        <f>U7/U6</f>
        <v>2.7564199598909093E-2</v>
      </c>
      <c r="V8" s="48">
        <v>0.04</v>
      </c>
      <c r="W8" s="48">
        <f>W7/W6</f>
        <v>2.3681456539345325</v>
      </c>
      <c r="X8" s="48">
        <f>X7/X6</f>
        <v>3.501986226513027</v>
      </c>
      <c r="Y8" s="48"/>
      <c r="Z8" s="48"/>
      <c r="AA8" s="48"/>
      <c r="AB8" s="48"/>
      <c r="AC8" s="47">
        <f>AC7/AC6</f>
        <v>0.20704801502728393</v>
      </c>
    </row>
    <row r="9" spans="1:29" ht="46.5" customHeight="1" x14ac:dyDescent="0.2">
      <c r="A9" s="53"/>
      <c r="B9" s="66" t="s">
        <v>8</v>
      </c>
      <c r="C9" s="67"/>
      <c r="D9" s="6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>
        <v>5000</v>
      </c>
      <c r="T9" s="10">
        <v>5000</v>
      </c>
      <c r="U9" s="10">
        <v>3500</v>
      </c>
      <c r="V9" s="10">
        <v>3500</v>
      </c>
      <c r="W9" s="10">
        <v>4000</v>
      </c>
      <c r="X9" s="10">
        <v>4000</v>
      </c>
      <c r="Y9" s="10"/>
      <c r="Z9" s="17">
        <v>2000</v>
      </c>
      <c r="AA9" s="9"/>
      <c r="AB9" s="9"/>
      <c r="AC9" s="44">
        <f>SUM(E9:AB9)</f>
        <v>27000</v>
      </c>
    </row>
    <row r="10" spans="1:29" ht="29.25" customHeight="1" x14ac:dyDescent="0.2">
      <c r="A10" s="53"/>
      <c r="B10" s="69" t="s">
        <v>9</v>
      </c>
      <c r="C10" s="70"/>
      <c r="D10" s="7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6"/>
      <c r="Q10" s="6"/>
      <c r="R10" s="6"/>
      <c r="S10" s="12">
        <v>5000</v>
      </c>
      <c r="T10" s="12">
        <f>(50362397612)/1000000000</f>
        <v>50.362397612000002</v>
      </c>
      <c r="U10" s="12">
        <v>3</v>
      </c>
      <c r="V10" s="12">
        <v>343.56242771900003</v>
      </c>
      <c r="W10" s="12">
        <f>(648116138154)/1000000000</f>
        <v>648.11613815400005</v>
      </c>
      <c r="X10" s="12">
        <v>84560.388845741443</v>
      </c>
      <c r="Y10" s="12"/>
      <c r="Z10" s="13"/>
      <c r="AA10" s="13"/>
      <c r="AB10" s="13"/>
      <c r="AC10" s="4">
        <f>SUM(E10:AB10)</f>
        <v>90605.429809226451</v>
      </c>
    </row>
    <row r="11" spans="1:29" ht="30" customHeight="1" thickBot="1" x14ac:dyDescent="0.25">
      <c r="A11" s="53"/>
      <c r="B11" s="72" t="s">
        <v>10</v>
      </c>
      <c r="C11" s="73"/>
      <c r="D11" s="74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>
        <f t="shared" ref="S11:W11" si="2">S10/S9</f>
        <v>1</v>
      </c>
      <c r="T11" s="48">
        <f t="shared" si="2"/>
        <v>1.00724795224E-2</v>
      </c>
      <c r="U11" s="48">
        <f t="shared" si="2"/>
        <v>8.571428571428571E-4</v>
      </c>
      <c r="V11" s="48">
        <f t="shared" si="2"/>
        <v>9.8160693634000012E-2</v>
      </c>
      <c r="W11" s="48">
        <f t="shared" si="2"/>
        <v>0.16202903453850001</v>
      </c>
      <c r="X11" s="48">
        <f>X10/X9</f>
        <v>21.140097211435361</v>
      </c>
      <c r="Y11" s="48"/>
      <c r="Z11" s="48"/>
      <c r="AA11" s="48"/>
      <c r="AB11" s="48"/>
      <c r="AC11" s="47">
        <f>AC10/AC9</f>
        <v>3.3557566596009796</v>
      </c>
    </row>
    <row r="12" spans="1:29" ht="59.25" customHeight="1" x14ac:dyDescent="0.2">
      <c r="A12" s="53"/>
      <c r="B12" s="66" t="s">
        <v>11</v>
      </c>
      <c r="C12" s="67"/>
      <c r="D12" s="6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>
        <v>1000</v>
      </c>
      <c r="T12" s="16">
        <v>500</v>
      </c>
      <c r="U12" s="16">
        <v>500</v>
      </c>
      <c r="V12" s="16">
        <v>500</v>
      </c>
      <c r="W12" s="16">
        <v>5000</v>
      </c>
      <c r="X12" s="17">
        <v>2000</v>
      </c>
      <c r="Y12" s="17">
        <v>2000</v>
      </c>
      <c r="Z12" s="17">
        <v>2000</v>
      </c>
      <c r="AA12" s="17">
        <v>1500</v>
      </c>
      <c r="AB12" s="17">
        <v>1500</v>
      </c>
      <c r="AC12" s="44">
        <f>SUM(E12:AB12)</f>
        <v>16500</v>
      </c>
    </row>
    <row r="13" spans="1:29" ht="29.25" customHeight="1" x14ac:dyDescent="0.2">
      <c r="A13" s="53"/>
      <c r="B13" s="69" t="s">
        <v>12</v>
      </c>
      <c r="C13" s="70"/>
      <c r="D13" s="7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6"/>
      <c r="Q13" s="6"/>
      <c r="R13" s="6"/>
      <c r="S13" s="12">
        <f>(46587238042)/1000000000</f>
        <v>46.587238042000003</v>
      </c>
      <c r="T13" s="12">
        <f>(266181710038)/1000000000</f>
        <v>266.18171003800001</v>
      </c>
      <c r="U13" s="12">
        <f>(117791830820)/1000000000</f>
        <v>117.79183082</v>
      </c>
      <c r="V13" s="12">
        <f>(1796915776075.48)/1000000000</f>
        <v>1796.9157760754799</v>
      </c>
      <c r="W13" s="12">
        <f>(593406734348)/1000000000</f>
        <v>593.40673434799999</v>
      </c>
      <c r="X13" s="12">
        <v>856.33164188299997</v>
      </c>
      <c r="Y13" s="12">
        <v>798</v>
      </c>
      <c r="Z13" s="12">
        <v>256.60000000000002</v>
      </c>
      <c r="AA13" s="12">
        <v>260.58061389599999</v>
      </c>
      <c r="AB13" s="3">
        <v>102.7785289</v>
      </c>
      <c r="AC13" s="4">
        <f>SUM(E13:AB13)</f>
        <v>5095.1740740024807</v>
      </c>
    </row>
    <row r="14" spans="1:29" ht="30" customHeight="1" thickBot="1" x14ac:dyDescent="0.25">
      <c r="A14" s="53"/>
      <c r="B14" s="72" t="s">
        <v>13</v>
      </c>
      <c r="C14" s="73"/>
      <c r="D14" s="7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f>(S13/S12)</f>
        <v>4.6587238042000004E-2</v>
      </c>
      <c r="T14" s="38">
        <f>(T13/T12)</f>
        <v>0.53236342007600002</v>
      </c>
      <c r="U14" s="38">
        <f>(U13/U12)</f>
        <v>0.23558366164</v>
      </c>
      <c r="V14" s="38">
        <f>V13/V12</f>
        <v>3.5938315521509598</v>
      </c>
      <c r="W14" s="38">
        <v>0.1</v>
      </c>
      <c r="X14" s="38">
        <v>0.1</v>
      </c>
      <c r="Y14" s="38">
        <f>Y13/Y12</f>
        <v>0.39900000000000002</v>
      </c>
      <c r="Z14" s="38">
        <f>Z13/Z12</f>
        <v>0.12830000000000003</v>
      </c>
      <c r="AA14" s="38">
        <f>AA13/AA12</f>
        <v>0.17372040926399998</v>
      </c>
      <c r="AB14" s="38">
        <f>AB13/AB12</f>
        <v>6.8519019266666661E-2</v>
      </c>
      <c r="AC14" s="47">
        <f>AC13/AC12</f>
        <v>0.30879842872742308</v>
      </c>
    </row>
    <row r="15" spans="1:29" ht="29.25" customHeight="1" x14ac:dyDescent="0.2">
      <c r="A15" s="53"/>
      <c r="B15" s="66" t="s">
        <v>14</v>
      </c>
      <c r="C15" s="67"/>
      <c r="D15" s="6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6"/>
      <c r="U15" s="16"/>
      <c r="V15" s="16"/>
      <c r="W15" s="16"/>
      <c r="X15" s="10">
        <v>5000</v>
      </c>
      <c r="Y15" s="10">
        <v>10000</v>
      </c>
      <c r="Z15" s="17"/>
      <c r="AA15" s="17">
        <v>500</v>
      </c>
      <c r="AB15" s="17">
        <v>0</v>
      </c>
      <c r="AC15" s="44">
        <f>SUM(E15:AB15)</f>
        <v>15500</v>
      </c>
    </row>
    <row r="16" spans="1:29" ht="29.25" customHeight="1" x14ac:dyDescent="0.2">
      <c r="A16" s="53"/>
      <c r="B16" s="69" t="s">
        <v>15</v>
      </c>
      <c r="C16" s="70"/>
      <c r="D16" s="7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6"/>
      <c r="Q16" s="6"/>
      <c r="R16" s="6"/>
      <c r="S16" s="12"/>
      <c r="T16" s="12"/>
      <c r="U16" s="12"/>
      <c r="V16" s="12"/>
      <c r="W16" s="12"/>
      <c r="X16" s="12"/>
      <c r="Y16" s="12"/>
      <c r="Z16" s="13"/>
      <c r="AA16" s="13">
        <v>0</v>
      </c>
      <c r="AB16" s="13"/>
      <c r="AC16" s="4">
        <f>SUM(E16:AB16)</f>
        <v>0</v>
      </c>
    </row>
    <row r="17" spans="1:29" ht="30" customHeight="1" thickBot="1" x14ac:dyDescent="0.25">
      <c r="A17" s="53"/>
      <c r="B17" s="72" t="s">
        <v>16</v>
      </c>
      <c r="C17" s="73"/>
      <c r="D17" s="7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>
        <v>0</v>
      </c>
      <c r="AB17" s="45"/>
      <c r="AC17" s="46">
        <f>AC16/AC15</f>
        <v>0</v>
      </c>
    </row>
    <row r="18" spans="1:29" ht="59.25" customHeight="1" thickBot="1" x14ac:dyDescent="0.25">
      <c r="A18" s="53"/>
      <c r="B18" s="75" t="s">
        <v>17</v>
      </c>
      <c r="C18" s="76"/>
      <c r="D18" s="7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18">
        <f>(1247490075920)/1000000000</f>
        <v>1247.49007592</v>
      </c>
      <c r="U18" s="18">
        <v>325.39999999999998</v>
      </c>
      <c r="V18" s="18">
        <v>1324.428451322</v>
      </c>
      <c r="W18" s="18">
        <f>(266588778113)/1000000000</f>
        <v>266.58877811299999</v>
      </c>
      <c r="X18" s="18">
        <v>1029.56388599</v>
      </c>
      <c r="Y18" s="18"/>
      <c r="Z18" s="18"/>
      <c r="AA18" s="18"/>
      <c r="AB18" s="18"/>
      <c r="AC18" s="19">
        <f>SUM(E18:AB18)</f>
        <v>4193.4711913450001</v>
      </c>
    </row>
    <row r="19" spans="1:29" ht="61.5" customHeight="1" thickBot="1" x14ac:dyDescent="0.25">
      <c r="A19" s="53"/>
      <c r="B19" s="75" t="s">
        <v>18</v>
      </c>
      <c r="C19" s="76"/>
      <c r="D19" s="7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>
        <v>1654</v>
      </c>
      <c r="P19" s="21">
        <f>(1002770742416+528483293360+144777681243)/1000000000</f>
        <v>1676.0317170190001</v>
      </c>
      <c r="Q19" s="21">
        <f>(16248417109225+87681910942+1440293936490)/1000000000</f>
        <v>17776.392956657</v>
      </c>
      <c r="R19" s="21">
        <f>(9402326308283+19953138620)/1000000000</f>
        <v>9422.2794469029996</v>
      </c>
      <c r="S19" s="22">
        <f>(5781709216479+5452844978)/1000000000</f>
        <v>5787.1620614570002</v>
      </c>
      <c r="T19" s="23">
        <f>(4339129167164.57)/1000000000</f>
        <v>4339.1291671645695</v>
      </c>
      <c r="U19" s="22">
        <f>(6822617351496.91)/1000000000</f>
        <v>6822.6173514969105</v>
      </c>
      <c r="V19" s="22">
        <f>(68009053845)/1000000000</f>
        <v>68.009053844999997</v>
      </c>
      <c r="W19" s="22"/>
      <c r="X19" s="22"/>
      <c r="Y19" s="22"/>
      <c r="Z19" s="21"/>
      <c r="AA19" s="21"/>
      <c r="AB19" s="21"/>
      <c r="AC19" s="19">
        <f>SUM(E19:AB19)</f>
        <v>47545.621754542481</v>
      </c>
    </row>
    <row r="20" spans="1:29" ht="29.25" customHeight="1" thickBot="1" x14ac:dyDescent="0.25">
      <c r="A20" s="53"/>
      <c r="B20" s="75" t="s">
        <v>19</v>
      </c>
      <c r="C20" s="76"/>
      <c r="D20" s="77"/>
      <c r="E20" s="20"/>
      <c r="F20" s="20"/>
      <c r="G20" s="20"/>
      <c r="H20" s="20"/>
      <c r="I20" s="20"/>
      <c r="J20" s="20"/>
      <c r="K20" s="20"/>
      <c r="L20" s="20"/>
      <c r="M20" s="20"/>
      <c r="N20" s="21">
        <f>(8128958481776)/1000000000</f>
        <v>8128.9584817759996</v>
      </c>
      <c r="O20" s="21">
        <f>(15753113497277)/1000000000</f>
        <v>15753.113497277</v>
      </c>
      <c r="P20" s="21">
        <f>(1543475122461)/1000000000</f>
        <v>1543.475122461</v>
      </c>
      <c r="Q20" s="21">
        <f>(12149710755536)/1000000000</f>
        <v>12149.710755536</v>
      </c>
      <c r="R20" s="21">
        <f>(30091261000000)/1000000000</f>
        <v>30091.260999999999</v>
      </c>
      <c r="S20" s="22"/>
      <c r="T20" s="23">
        <v>76697</v>
      </c>
      <c r="U20" s="22">
        <v>20710.597000000002</v>
      </c>
      <c r="V20" s="22">
        <v>7021.0788349140003</v>
      </c>
      <c r="W20" s="22">
        <v>7662</v>
      </c>
      <c r="X20" s="22">
        <v>4774</v>
      </c>
      <c r="Y20" s="22"/>
      <c r="Z20" s="21"/>
      <c r="AA20" s="23">
        <v>11.79076923076923</v>
      </c>
      <c r="AB20" s="23">
        <v>465550.99294642202</v>
      </c>
      <c r="AC20" s="19">
        <f>SUM(E20:AB20)</f>
        <v>650093.97840761673</v>
      </c>
    </row>
    <row r="21" spans="1:29" ht="30" customHeight="1" thickBot="1" x14ac:dyDescent="0.25">
      <c r="A21" s="54"/>
      <c r="B21" s="75" t="s">
        <v>20</v>
      </c>
      <c r="C21" s="76"/>
      <c r="D21" s="77"/>
      <c r="E21" s="42">
        <f>E19+E4+E7+E20+E10+E13+E18</f>
        <v>93.6</v>
      </c>
      <c r="F21" s="42">
        <f t="shared" ref="F21:AA21" si="3">F19+F4+F7+F20+F10+F13+F18</f>
        <v>1012.764</v>
      </c>
      <c r="G21" s="42">
        <f t="shared" si="3"/>
        <v>2470.7170000000001</v>
      </c>
      <c r="H21" s="42">
        <f t="shared" si="3"/>
        <v>2813.0540000000001</v>
      </c>
      <c r="I21" s="42">
        <f t="shared" si="3"/>
        <v>1537.241</v>
      </c>
      <c r="J21" s="42">
        <f t="shared" si="3"/>
        <v>1636.2929999999999</v>
      </c>
      <c r="K21" s="42">
        <f t="shared" si="3"/>
        <v>6288.3720000000003</v>
      </c>
      <c r="L21" s="42">
        <f t="shared" si="3"/>
        <v>15014.574000000001</v>
      </c>
      <c r="M21" s="42">
        <f t="shared" si="3"/>
        <v>19496.367999999999</v>
      </c>
      <c r="N21" s="42">
        <f t="shared" si="3"/>
        <v>46244.958481775997</v>
      </c>
      <c r="O21" s="42">
        <f t="shared" si="3"/>
        <v>71003.113497276994</v>
      </c>
      <c r="P21" s="42">
        <f t="shared" si="3"/>
        <v>54715.506839480004</v>
      </c>
      <c r="Q21" s="42">
        <f t="shared" si="3"/>
        <v>144247.97468588702</v>
      </c>
      <c r="R21" s="42">
        <f t="shared" si="3"/>
        <v>163513.49206707699</v>
      </c>
      <c r="S21" s="42">
        <f t="shared" si="3"/>
        <v>105248.749299499</v>
      </c>
      <c r="T21" s="42">
        <f t="shared" si="3"/>
        <v>160683.46268771859</v>
      </c>
      <c r="U21" s="42">
        <f t="shared" si="3"/>
        <v>69310.818573492914</v>
      </c>
      <c r="V21" s="42">
        <f t="shared" si="3"/>
        <v>58655.113637254479</v>
      </c>
      <c r="W21" s="42">
        <f t="shared" si="3"/>
        <v>68553.723945459991</v>
      </c>
      <c r="X21" s="42">
        <f t="shared" si="3"/>
        <v>355881.73016167484</v>
      </c>
      <c r="Y21" s="42">
        <f t="shared" si="3"/>
        <v>18377</v>
      </c>
      <c r="Z21" s="42">
        <f t="shared" si="3"/>
        <v>329939.74</v>
      </c>
      <c r="AA21" s="42">
        <f t="shared" si="3"/>
        <v>273877.02655143774</v>
      </c>
      <c r="AB21" s="42">
        <f>AB19+AB4+AB7+AB20+AB10+AB13+AB18</f>
        <v>795210.55053582636</v>
      </c>
      <c r="AC21" s="43">
        <f>SUM(E21:AB21)</f>
        <v>2765825.9439638606</v>
      </c>
    </row>
    <row r="22" spans="1:29" ht="33.75" thickBot="1" x14ac:dyDescent="0.9">
      <c r="A22" s="24"/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8.5" x14ac:dyDescent="0.2">
      <c r="A23" s="32" t="s">
        <v>0</v>
      </c>
      <c r="B23" s="33"/>
      <c r="C23" s="33"/>
      <c r="D23" s="34"/>
      <c r="E23" s="35">
        <v>1380</v>
      </c>
      <c r="F23" s="35">
        <v>1381</v>
      </c>
      <c r="G23" s="35">
        <v>1382</v>
      </c>
      <c r="H23" s="35">
        <v>1383</v>
      </c>
      <c r="I23" s="35">
        <v>1384</v>
      </c>
      <c r="J23" s="35">
        <v>1385</v>
      </c>
      <c r="K23" s="35">
        <v>1386</v>
      </c>
      <c r="L23" s="35">
        <v>1387</v>
      </c>
      <c r="M23" s="35">
        <v>1388</v>
      </c>
      <c r="N23" s="35">
        <v>1389</v>
      </c>
      <c r="O23" s="35">
        <v>1390</v>
      </c>
      <c r="P23" s="35">
        <v>1391</v>
      </c>
      <c r="Q23" s="35">
        <v>1392</v>
      </c>
      <c r="R23" s="35">
        <v>1393</v>
      </c>
      <c r="S23" s="35">
        <v>1394</v>
      </c>
      <c r="T23" s="35">
        <v>1395</v>
      </c>
      <c r="U23" s="35">
        <v>1396</v>
      </c>
      <c r="V23" s="35">
        <v>1397</v>
      </c>
      <c r="W23" s="35">
        <v>1398</v>
      </c>
      <c r="X23" s="35">
        <v>1399</v>
      </c>
      <c r="Y23" s="35">
        <v>1400</v>
      </c>
      <c r="Z23" s="35">
        <v>1401</v>
      </c>
      <c r="AA23" s="35">
        <v>1402</v>
      </c>
      <c r="AB23" s="35">
        <v>1403</v>
      </c>
      <c r="AC23" s="36" t="s">
        <v>1</v>
      </c>
    </row>
    <row r="24" spans="1:29" ht="29.25" customHeight="1" x14ac:dyDescent="0.2">
      <c r="A24" s="60" t="s">
        <v>21</v>
      </c>
      <c r="B24" s="61"/>
      <c r="C24" s="61"/>
      <c r="D24" s="62"/>
      <c r="E24" s="12">
        <f t="shared" ref="E24:AA24" si="4">E12+E9+E6+E3+E15</f>
        <v>1200</v>
      </c>
      <c r="F24" s="12">
        <f t="shared" si="4"/>
        <v>6000</v>
      </c>
      <c r="G24" s="12">
        <f t="shared" si="4"/>
        <v>7000</v>
      </c>
      <c r="H24" s="12">
        <f t="shared" si="4"/>
        <v>11000</v>
      </c>
      <c r="I24" s="12">
        <f t="shared" si="4"/>
        <v>5000</v>
      </c>
      <c r="J24" s="12">
        <f t="shared" si="4"/>
        <v>7400</v>
      </c>
      <c r="K24" s="12">
        <f t="shared" si="4"/>
        <v>30000</v>
      </c>
      <c r="L24" s="12">
        <f t="shared" si="4"/>
        <v>30000</v>
      </c>
      <c r="M24" s="12">
        <f t="shared" si="4"/>
        <v>32100</v>
      </c>
      <c r="N24" s="12">
        <f t="shared" si="4"/>
        <v>45000</v>
      </c>
      <c r="O24" s="12">
        <f t="shared" si="4"/>
        <v>45000</v>
      </c>
      <c r="P24" s="12">
        <f t="shared" si="4"/>
        <v>65000</v>
      </c>
      <c r="Q24" s="12">
        <f t="shared" si="4"/>
        <v>312000</v>
      </c>
      <c r="R24" s="12">
        <f t="shared" si="4"/>
        <v>181000</v>
      </c>
      <c r="S24" s="12">
        <f t="shared" si="4"/>
        <v>181000</v>
      </c>
      <c r="T24" s="12">
        <f t="shared" si="4"/>
        <v>165500</v>
      </c>
      <c r="U24" s="12">
        <f t="shared" si="4"/>
        <v>105000</v>
      </c>
      <c r="V24" s="12">
        <f t="shared" si="4"/>
        <v>71000</v>
      </c>
      <c r="W24" s="12">
        <f t="shared" si="4"/>
        <v>50750</v>
      </c>
      <c r="X24" s="12">
        <f t="shared" si="4"/>
        <v>119871</v>
      </c>
      <c r="Y24" s="12">
        <f t="shared" si="4"/>
        <v>959000</v>
      </c>
      <c r="Z24" s="12">
        <f t="shared" si="4"/>
        <v>712000</v>
      </c>
      <c r="AA24" s="12">
        <f t="shared" si="4"/>
        <v>1060000</v>
      </c>
      <c r="AB24" s="12">
        <f>AB12+AB9+AB6+AB3+AB15</f>
        <v>600000</v>
      </c>
      <c r="AC24" s="37">
        <f>SUM(E24:AB24)</f>
        <v>4801821</v>
      </c>
    </row>
    <row r="25" spans="1:29" ht="29.25" customHeight="1" x14ac:dyDescent="0.2">
      <c r="A25" s="60" t="s">
        <v>22</v>
      </c>
      <c r="B25" s="61"/>
      <c r="C25" s="61"/>
      <c r="D25" s="62"/>
      <c r="E25" s="12">
        <f t="shared" ref="E25:V25" si="5">E4+E7+E10+E13+E18+E19+E20</f>
        <v>93.6</v>
      </c>
      <c r="F25" s="27">
        <f t="shared" si="5"/>
        <v>1012.764</v>
      </c>
      <c r="G25" s="27">
        <f t="shared" si="5"/>
        <v>2470.7170000000001</v>
      </c>
      <c r="H25" s="27">
        <f t="shared" si="5"/>
        <v>2813.0540000000001</v>
      </c>
      <c r="I25" s="27">
        <f t="shared" si="5"/>
        <v>1537.241</v>
      </c>
      <c r="J25" s="27">
        <f t="shared" si="5"/>
        <v>1636.2929999999999</v>
      </c>
      <c r="K25" s="27">
        <f t="shared" si="5"/>
        <v>6288.3720000000003</v>
      </c>
      <c r="L25" s="27">
        <f t="shared" si="5"/>
        <v>15014.574000000001</v>
      </c>
      <c r="M25" s="27">
        <f t="shared" si="5"/>
        <v>19496.367999999999</v>
      </c>
      <c r="N25" s="27">
        <f t="shared" si="5"/>
        <v>46244.958481775997</v>
      </c>
      <c r="O25" s="27">
        <f t="shared" si="5"/>
        <v>71003.113497276994</v>
      </c>
      <c r="P25" s="27">
        <f t="shared" si="5"/>
        <v>54715.506839480004</v>
      </c>
      <c r="Q25" s="27">
        <f t="shared" si="5"/>
        <v>144247.97468588702</v>
      </c>
      <c r="R25" s="27">
        <f t="shared" si="5"/>
        <v>163513.49206707699</v>
      </c>
      <c r="S25" s="27">
        <f t="shared" si="5"/>
        <v>105248.749299499</v>
      </c>
      <c r="T25" s="27">
        <f t="shared" si="5"/>
        <v>160683.46268771857</v>
      </c>
      <c r="U25" s="27">
        <f t="shared" si="5"/>
        <v>69310.818573492928</v>
      </c>
      <c r="V25" s="27">
        <f t="shared" si="5"/>
        <v>58655.113637254479</v>
      </c>
      <c r="W25" s="27">
        <f t="shared" ref="W25:AA25" si="6">W21</f>
        <v>68553.723945459991</v>
      </c>
      <c r="X25" s="12">
        <f t="shared" si="6"/>
        <v>355881.73016167484</v>
      </c>
      <c r="Y25" s="12">
        <f t="shared" si="6"/>
        <v>18377</v>
      </c>
      <c r="Z25" s="27">
        <f t="shared" si="6"/>
        <v>329939.74</v>
      </c>
      <c r="AA25" s="12">
        <f t="shared" si="6"/>
        <v>273877.02655143774</v>
      </c>
      <c r="AB25" s="28">
        <f>AB21</f>
        <v>795210.55053582636</v>
      </c>
      <c r="AC25" s="37">
        <f>SUM(E25:AB25)</f>
        <v>2765825.9439638606</v>
      </c>
    </row>
    <row r="26" spans="1:29" ht="30" customHeight="1" thickBot="1" x14ac:dyDescent="0.25">
      <c r="A26" s="63" t="s">
        <v>23</v>
      </c>
      <c r="B26" s="64"/>
      <c r="C26" s="64"/>
      <c r="D26" s="65"/>
      <c r="E26" s="38">
        <f>E25/E24</f>
        <v>7.8E-2</v>
      </c>
      <c r="F26" s="38">
        <f t="shared" ref="F26:U26" si="7">F25/F24</f>
        <v>0.168794</v>
      </c>
      <c r="G26" s="38">
        <f t="shared" si="7"/>
        <v>0.35295957142857143</v>
      </c>
      <c r="H26" s="38">
        <f t="shared" si="7"/>
        <v>0.2557321818181818</v>
      </c>
      <c r="I26" s="38">
        <f t="shared" si="7"/>
        <v>0.3074482</v>
      </c>
      <c r="J26" s="38">
        <f t="shared" si="7"/>
        <v>0.22112067567567567</v>
      </c>
      <c r="K26" s="38">
        <f t="shared" si="7"/>
        <v>0.2096124</v>
      </c>
      <c r="L26" s="38">
        <f t="shared" si="7"/>
        <v>0.50048579999999998</v>
      </c>
      <c r="M26" s="38">
        <f t="shared" si="7"/>
        <v>0.60736348909657312</v>
      </c>
      <c r="N26" s="38">
        <f t="shared" si="7"/>
        <v>1.0276657440394665</v>
      </c>
      <c r="O26" s="38">
        <f t="shared" si="7"/>
        <v>1.5778469666061554</v>
      </c>
      <c r="P26" s="38">
        <f t="shared" si="7"/>
        <v>0.84177702829969236</v>
      </c>
      <c r="Q26" s="38">
        <f t="shared" si="7"/>
        <v>0.46233325219835586</v>
      </c>
      <c r="R26" s="38">
        <f t="shared" si="7"/>
        <v>0.90338945893412703</v>
      </c>
      <c r="S26" s="38">
        <f t="shared" si="7"/>
        <v>0.58148480275966297</v>
      </c>
      <c r="T26" s="38">
        <f t="shared" si="7"/>
        <v>0.97089705551491579</v>
      </c>
      <c r="U26" s="38">
        <f t="shared" si="7"/>
        <v>0.66010303403326598</v>
      </c>
      <c r="V26" s="38">
        <f>V25/V24</f>
        <v>0.82612836108809129</v>
      </c>
      <c r="W26" s="38">
        <f>W25/W24</f>
        <v>1.3508122944918224</v>
      </c>
      <c r="X26" s="38">
        <f>X25/X24</f>
        <v>2.9688726227500801</v>
      </c>
      <c r="Y26" s="38">
        <f>Y25/Y24</f>
        <v>1.916266944734098E-2</v>
      </c>
      <c r="Z26" s="38">
        <f>Z25/Z24</f>
        <v>0.46339851123595505</v>
      </c>
      <c r="AA26" s="38">
        <v>0.14000000000000001</v>
      </c>
      <c r="AB26" s="38">
        <f>AB25/AB24</f>
        <v>1.3253509175597107</v>
      </c>
      <c r="AC26" s="39">
        <f>AC25/AC24</f>
        <v>0.57599522013916404</v>
      </c>
    </row>
    <row r="27" spans="1:29" ht="33" x14ac:dyDescent="0.8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9"/>
      <c r="U27" s="29"/>
      <c r="V27" s="29"/>
      <c r="W27" s="29"/>
      <c r="X27" s="30"/>
      <c r="Y27" s="30"/>
      <c r="Z27" s="30"/>
      <c r="AA27" s="30"/>
      <c r="AB27" s="30"/>
      <c r="AC27" s="29"/>
    </row>
  </sheetData>
  <mergeCells count="27">
    <mergeCell ref="A1:AC1"/>
    <mergeCell ref="A3:A21"/>
    <mergeCell ref="B3:D3"/>
    <mergeCell ref="B5:D5"/>
    <mergeCell ref="B6:D6"/>
    <mergeCell ref="B4:D4"/>
    <mergeCell ref="B7:D7"/>
    <mergeCell ref="B8:D8"/>
    <mergeCell ref="B9:D9"/>
    <mergeCell ref="B10:D10"/>
    <mergeCell ref="B11:D11"/>
    <mergeCell ref="B13:D13"/>
    <mergeCell ref="B14:D14"/>
    <mergeCell ref="B15:D15"/>
    <mergeCell ref="A2:D2"/>
    <mergeCell ref="B16:D16"/>
    <mergeCell ref="B12:D12"/>
    <mergeCell ref="B17:D17"/>
    <mergeCell ref="A27:S27"/>
    <mergeCell ref="B20:D20"/>
    <mergeCell ref="B21:D21"/>
    <mergeCell ref="A23:D23"/>
    <mergeCell ref="B18:D18"/>
    <mergeCell ref="B19:D19"/>
    <mergeCell ref="A24:D24"/>
    <mergeCell ref="A25:D25"/>
    <mergeCell ref="A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طایفه</dc:creator>
  <cp:lastModifiedBy>محبوبه بیات</cp:lastModifiedBy>
  <cp:lastPrinted>2025-07-27T07:16:25Z</cp:lastPrinted>
  <dcterms:created xsi:type="dcterms:W3CDTF">2025-07-19T05:38:37Z</dcterms:created>
  <dcterms:modified xsi:type="dcterms:W3CDTF">2025-07-29T04:57:34Z</dcterms:modified>
</cp:coreProperties>
</file>